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<sst xmlns="http://schemas.openxmlformats.org/spreadsheetml/2006/main" count="222" uniqueCount="155">
  <si>
    <t xml:space="preserve">Basisdaten</t>
  </si>
  <si>
    <t xml:space="preserve">Fakten</t>
  </si>
  <si>
    <t xml:space="preserve">kW</t>
  </si>
  <si>
    <t xml:space="preserve">Peak m² Photovoltaik</t>
  </si>
  <si>
    <t xml:space="preserve">Annahmen</t>
  </si>
  <si>
    <t xml:space="preserve">m²</t>
  </si>
  <si>
    <t xml:space="preserve">Fläche Photovoltaik</t>
  </si>
  <si>
    <t xml:space="preserve">Durchschnitt Datenlage Internet</t>
  </si>
  <si>
    <t xml:space="preserve">Rg. Oelpool 2021 ~4500 Liter</t>
  </si>
  <si>
    <t xml:space="preserve">Faktor</t>
  </si>
  <si>
    <t xml:space="preserve">Wirkungsgrad (Leitungsverlust, Wechselrichter)</t>
  </si>
  <si>
    <t xml:space="preserve">Peak-Leistung PV Anlage</t>
  </si>
  <si>
    <t xml:space="preserve">KWh/Jahr</t>
  </si>
  <si>
    <t xml:space="preserve">Elektrischer Energieverbrauch bestehend</t>
  </si>
  <si>
    <t xml:space="preserve">Steuerabgaben auf verkaufte Solarenergie elektrisch</t>
  </si>
  <si>
    <t xml:space="preserve">kWh/m2</t>
  </si>
  <si>
    <t xml:space="preserve">Leistung Sonneneinstrahlung total pro Jahr</t>
  </si>
  <si>
    <t xml:space="preserve">Realistische Leistung PV /m2 im Jahr</t>
  </si>
  <si>
    <t xml:space="preserve">PV (Photovoltaik)</t>
  </si>
  <si>
    <t xml:space="preserve">Oelpreis Schätzung pro Liter</t>
  </si>
  <si>
    <t xml:space="preserve">Leistung Real im Jahr auf 30m2 bestehend</t>
  </si>
  <si>
    <t xml:space="preserve">ST (Solarthermie)</t>
  </si>
  <si>
    <t xml:space="preserve">Leistung Real im Jahr auf 21m2 neu</t>
  </si>
  <si>
    <t xml:space="preserve">(2024: 5747 kWh)</t>
  </si>
  <si>
    <t xml:space="preserve">Wärmepumpe</t>
  </si>
  <si>
    <t xml:space="preserve">Leistung PV Dach / Jahr</t>
  </si>
  <si>
    <t xml:space="preserve">Strompreis / kWh (Einkauf)</t>
  </si>
  <si>
    <t xml:space="preserve">KwhT / L</t>
  </si>
  <si>
    <t xml:space="preserve">Heizwert Öl</t>
  </si>
  <si>
    <t xml:space="preserve">L / Jahr</t>
  </si>
  <si>
    <t xml:space="preserve">Verbrauch Öl pro Jahr</t>
  </si>
  <si>
    <t xml:space="preserve">Elektrische Energie</t>
  </si>
  <si>
    <t xml:space="preserve">Verlust Öl/Wärmeproduktion (Chemineé)</t>
  </si>
  <si>
    <t xml:space="preserve">Wärmeenergie</t>
  </si>
  <si>
    <t xml:space="preserve">kWhT</t>
  </si>
  <si>
    <t xml:space="preserve">Bedarf Wärmeenergie pro Jahr</t>
  </si>
  <si>
    <t xml:space="preserve">Strompreis / kWh (Verkauf)</t>
  </si>
  <si>
    <t xml:space="preserve">Davon Warmwasser-Bedarf</t>
  </si>
  <si>
    <t xml:space="preserve">Projekt-Berechnungen</t>
  </si>
  <si>
    <t xml:space="preserve">Wirkungsgrad Solarthermie</t>
  </si>
  <si>
    <t xml:space="preserve">Weiche Faktoren / Schwer abzuschätzen / Geringer Einfluss</t>
  </si>
  <si>
    <t xml:space="preserve">Leistungsverlust Energie</t>
  </si>
  <si>
    <t xml:space="preserve">kWhT /m2</t>
  </si>
  <si>
    <t xml:space="preserve">Realistische Leistung Thermie /m2 im Jahr (PVT) (Konservativ)</t>
  </si>
  <si>
    <t xml:space="preserve">Kostenrechnung Oelheizung bestehend pro Jahr</t>
  </si>
  <si>
    <t xml:space="preserve">Fläche Thermie (PVT)</t>
  </si>
  <si>
    <t xml:space="preserve">Neue Ölheizung</t>
  </si>
  <si>
    <t xml:space="preserve">Leistung Thermie Dach / Jahr</t>
  </si>
  <si>
    <t xml:space="preserve">Total Initialkosten:</t>
  </si>
  <si>
    <t xml:space="preserve">Verlust Einlagerung in Erdreich (Saison-Speicher/Regeneration)</t>
  </si>
  <si>
    <t xml:space="preserve">Servicevertrag</t>
  </si>
  <si>
    <t xml:space="preserve">Verlust Abrufung aus Erdreich (Saison-Speicher/Regeneration)</t>
  </si>
  <si>
    <t xml:space="preserve">Zus. Aufwände</t>
  </si>
  <si>
    <t xml:space="preserve">(inkl. Kaminfeger)</t>
  </si>
  <si>
    <t xml:space="preserve">KwhT</t>
  </si>
  <si>
    <t xml:space="preserve">Wiederverwendbare gespeicherte Wärme in Boden</t>
  </si>
  <si>
    <t xml:space="preserve">Offerte heizungsmacher: JAZ 5</t>
  </si>
  <si>
    <t xml:space="preserve">Oel</t>
  </si>
  <si>
    <t xml:space="preserve">(COP/JAZ)Wirkungsgrad Wärmepumpe Erdsonde
( 2.5/75° | 3.5/55° | 4/40° )</t>
  </si>
  <si>
    <t xml:space="preserve">(0.46 - 2024)</t>
  </si>
  <si>
    <t xml:space="preserve">Verkauf Energie</t>
  </si>
  <si>
    <t xml:space="preserve">20 Jahre</t>
  </si>
  <si>
    <t xml:space="preserve">30 Jahre</t>
  </si>
  <si>
    <t xml:space="preserve">(2024: -751.25)</t>
  </si>
  <si>
    <t xml:space="preserve">Eigenverbrauch.: Selbst produzierte und selbst verwendete elektrische Energie (Eigenverbr./Produktion)</t>
  </si>
  <si>
    <t xml:space="preserve">(0.4   - 2024)</t>
  </si>
  <si>
    <t xml:space="preserve">Steuern verk. Energie</t>
  </si>
  <si>
    <t xml:space="preserve">Solarer elektrischer Deckungsgrad: benötigte elektr. Energie durch Eigenprod. Abged. (Eigenverbr./Bedarf)</t>
  </si>
  <si>
    <t xml:space="preserve">Einkauf Elek. Energie</t>
  </si>
  <si>
    <t xml:space="preserve">(2024: 1161.50)</t>
  </si>
  <si>
    <t xml:space="preserve">Kosten/Jahr:</t>
  </si>
  <si>
    <t xml:space="preserve">Direktnutz. Solarthermie (Brauchw., Heizung) (Puffer-Tank++)</t>
  </si>
  <si>
    <t xml:space="preserve">Abzug direkte Deckung durch Solarthermie</t>
  </si>
  <si>
    <t xml:space="preserve">Jährliche Kosten+Initialkosten</t>
  </si>
  <si>
    <t xml:space="preserve">Erzeugung von Wärmeenergie via Wärmepumpe durch Photovoltaik total ((Bedarf T Total – ST direkt)/COP)*SolarerDeckungsgrad*COP</t>
  </si>
  <si>
    <t xml:space="preserve">https://www.energie-experten.org/heizung/waermepumpe/waermepumpenheizung/wirkungsgrad</t>
  </si>
  <si>
    <t xml:space="preserve">kWh</t>
  </si>
  <si>
    <t xml:space="preserve">Somit Deckung des elektrischen Wärmepumpen-Verbrauchs (Anhand Faktor)</t>
  </si>
  <si>
    <t xml:space="preserve">Kostenrechnung Solarthermie + Photovoltaik + Bestehend Photovoltaik</t>
  </si>
  <si>
    <t xml:space="preserve">Verbrauch Elektrische Energie durch Wärmepumpe (Bedarf T – direkt ST)/COP</t>
  </si>
  <si>
    <t xml:space="preserve">https://www.heizsparer.de/spartipps/heizung-optimieren/optimale-vorlauftemperatur-einstellen</t>
  </si>
  <si>
    <t xml:space="preserve">Baukosten 2025</t>
  </si>
  <si>
    <t xml:space="preserve">Somit Einkauf elektrischer Energie für Wärmepumpe</t>
  </si>
  <si>
    <t xml:space="preserve">Korrektur def. HK</t>
  </si>
  <si>
    <t xml:space="preserve">CHF</t>
  </si>
  <si>
    <t xml:space="preserve">Somit Einkauf elektrischer Energie für Wärmepumpe in CHF</t>
  </si>
  <si>
    <t xml:space="preserve">Strategisches:</t>
  </si>
  <si>
    <t xml:space="preserve">Somit Erzeugung von Wärmeenergie via Wärmepumpe durch Einkauf total</t>
  </si>
  <si>
    <t xml:space="preserve">- Die Inflation ist ausgeklammert (Tendenz steigend)</t>
  </si>
  <si>
    <t xml:space="preserve">Total Bedarf/Verbrauch elektrischer Energie</t>
  </si>
  <si>
    <t xml:space="preserve">- Die Strompreisveränderung für Einkauf und Verkauf ist ausgeklammert (Tendenz im Winter steigend, im Sommer fallend)</t>
  </si>
  <si>
    <t xml:space="preserve">Eigenverbrauch elektrischer Energie total</t>
  </si>
  <si>
    <t xml:space="preserve">Deckung Energiebedarf durch Eigenproduktion total</t>
  </si>
  <si>
    <t xml:space="preserve">Verkauf elektrische Energie Total</t>
  </si>
  <si>
    <t xml:space="preserve">Einkauf elektrische Energie Total</t>
  </si>
  <si>
    <t xml:space="preserve"> </t>
  </si>
  <si>
    <r>
      <rPr>
        <b val="true"/>
        <sz val="11"/>
        <color rgb="FF000000"/>
        <rFont val="F"/>
        <family val="0"/>
      </rPr>
      <t xml:space="preserve">Verbrauchs-Bilanz </t>
    </r>
    <r>
      <rPr>
        <b val="true"/>
        <sz val="10"/>
        <color rgb="FF000000"/>
        <rFont val="Arial"/>
        <family val="0"/>
      </rPr>
      <t xml:space="preserve">elektrischer Energie (Verbrauch – Produktion)</t>
    </r>
  </si>
  <si>
    <t xml:space="preserve">Thermische Bilanz – Kontrolle, muss 0 sein, es kann keine Überproduktion geben (nur zu Warmes Haus)</t>
  </si>
  <si>
    <t xml:space="preserve">Entzug Wärme Erdsonde</t>
  </si>
  <si>
    <t xml:space="preserve">Regeneration Solarthermie (Regeneration direkt + Entlastung Primärkreislauf)</t>
  </si>
  <si>
    <t xml:space="preserve">Regeneration Passivkühlung (130m2 Fussb.HZ * 20W/m2 * 8h * 60Tage /1000 = 1248kWh</t>
  </si>
  <si>
    <t xml:space="preserve">Energiebilanz Erdsonde (minus = Entzug pro Jahr) (Natürliche Regeneration unbeachtet)</t>
  </si>
  <si>
    <t xml:space="preserve">-&gt; Ex. Kaminfeger</t>
  </si>
  <si>
    <r>
      <rPr>
        <b val="true"/>
        <sz val="10"/>
        <color rgb="FF000000"/>
        <rFont val="F"/>
        <family val="0"/>
      </rPr>
      <t xml:space="preserve">Tank-Rentabilität</t>
    </r>
    <r>
      <rPr>
        <sz val="10"/>
        <color rgb="FF000000"/>
        <rFont val="F"/>
        <family val="0"/>
      </rPr>
      <t xml:space="preserve"> Josef Reinhart-Weg 8</t>
    </r>
  </si>
  <si>
    <t xml:space="preserve">Leistung 1°C / 1m3 Wasser</t>
  </si>
  <si>
    <t xml:space="preserve">Amortisationsdauer:</t>
  </si>
  <si>
    <t xml:space="preserve">m³</t>
  </si>
  <si>
    <t xml:space="preserve">Tankinhalt</t>
  </si>
  <si>
    <t xml:space="preserve">°C</t>
  </si>
  <si>
    <t xml:space="preserve">Ausgangswasser Temperatur</t>
  </si>
  <si>
    <t xml:space="preserve">(Strom Total)</t>
  </si>
  <si>
    <t xml:space="preserve">Endtemperatur Wasser</t>
  </si>
  <si>
    <t xml:space="preserve">Wärmeverlust/1d (Quelle https://www.heatsystems.de/verlustleistung-tank.html)</t>
  </si>
  <si>
    <t xml:space="preserve">Wärmeverlust/30d → Nicht korrekt, da der Verlust pro Tag mit sinkender Temp. Abnimmt</t>
  </si>
  <si>
    <t xml:space="preserve">Differenz (Rentabilität gegenüber Ölheizung)</t>
  </si>
  <si>
    <t xml:space="preserve">Wärmeverlust-Verstärkung (Anschlüsse, sonst. Verluste)</t>
  </si>
  <si>
    <t xml:space="preserve">Wärmeverlust pro Tag (Heizleistung in Keller)</t>
  </si>
  <si>
    <t xml:space="preserve">Fragen / Zu klären</t>
  </si>
  <si>
    <t xml:space="preserve">Temperaturverlust nach 1d   nach voller Beladung</t>
  </si>
  <si>
    <t xml:space="preserve">Lohnt sich der Tank?</t>
  </si>
  <si>
    <t xml:space="preserve">Leistungsverlust Pumpkreislauf, Leitungen, Tankoberfläche</t>
  </si>
  <si>
    <t xml:space="preserve">Lohnt sich die Erdsonde?</t>
  </si>
  <si>
    <t xml:space="preserve">Wärmebedarf pro Tag (365/2) (Im Heizhalbjahr)</t>
  </si>
  <si>
    <t xml:space="preserve">Lohnt sich die Regeneration/Wärmespeicherung im Boden? Ansonsten weniger PVT</t>
  </si>
  <si>
    <t xml:space="preserve">Gespeicherte Leistung bei voller Beladung</t>
  </si>
  <si>
    <r>
      <rPr>
        <sz val="10"/>
        <color rgb="FF000000"/>
        <rFont val="F"/>
        <family val="0"/>
      </rPr>
      <t xml:space="preserve">Kostenersparnis pro Füllung(Verhinderung Strom-Einkauf) </t>
    </r>
    <r>
      <rPr>
        <sz val="10"/>
        <color rgb="FF000000"/>
        <rFont val="Arial"/>
        <family val="0"/>
      </rPr>
      <t xml:space="preserve">im Gegensatz zu keinem Speicher (mit Wärmepumpe)</t>
    </r>
  </si>
  <si>
    <t xml:space="preserve">Ist der Tankinhalt weniger warm = kleinere Verluste</t>
  </si>
  <si>
    <t xml:space="preserve">Ist der Raum in dem der Tank steht, wärmer als 15°C = weniger Verluste (30°C sind nicht unwahrscheinlich)</t>
  </si>
  <si>
    <t xml:space="preserve">Faktoren Wärmepumpen COP → Je kleiner der Temperatur-Hub (Anheben), desto effizienter die WP</t>
  </si>
  <si>
    <t xml:space="preserve">D.H.: Höhere Eingangstemperatur und tiefere Ausgangstemperatur erhöhen die COP.</t>
  </si>
  <si>
    <t xml:space="preserve">Tankladungen</t>
  </si>
  <si>
    <t xml:space="preserve">Um Energiebedarf pro Jahr ab Speicher zu decken</t>
  </si>
  <si>
    <t xml:space="preserve">Um Eigenkosten abzudecken</t>
  </si>
  <si>
    <t xml:space="preserve">Pro Jahr um nach 30 Jahren Eigenkosten abzudecken (Leer → Voll aufgeladen)</t>
  </si>
  <si>
    <t xml:space="preserve">Rentabilität Thermie-Anteil</t>
  </si>
  <si>
    <t xml:space="preserve">Ersetzt elektrische Energie pro Jahr mit Wärmepumpe COP/Faktor bei direkter Verwendung der Wärme (Heizen, Warmwasser)</t>
  </si>
  <si>
    <r>
      <rPr>
        <sz val="11"/>
        <color rgb="FF000000"/>
        <rFont val="F"/>
        <family val="0"/>
      </rPr>
      <t xml:space="preserve">Kostenersparnis pro Jahr bei 100%</t>
    </r>
    <r>
      <rPr>
        <sz val="10"/>
        <color rgb="FF000000"/>
        <rFont val="Arial"/>
        <family val="0"/>
      </rPr>
      <t xml:space="preserve"> Einkauf Strom</t>
    </r>
  </si>
  <si>
    <t xml:space="preserve">Kostenersparnis pro Jahr 100% Verkauf Strom</t>
  </si>
  <si>
    <r>
      <rPr>
        <sz val="11"/>
        <color rgb="FF000000"/>
        <rFont val="F"/>
        <family val="0"/>
      </rPr>
      <t xml:space="preserve">Kostenersparnis 30 Jahre bei 100% </t>
    </r>
    <r>
      <rPr>
        <sz val="10"/>
        <color rgb="FF000000"/>
        <rFont val="Arial"/>
        <family val="0"/>
      </rPr>
      <t xml:space="preserve">Einkauf Strom</t>
    </r>
  </si>
  <si>
    <r>
      <rPr>
        <sz val="11"/>
        <color rgb="FF000000"/>
        <rFont val="F"/>
        <family val="0"/>
      </rPr>
      <t xml:space="preserve">Kostenersparnis 30 Jahre 100%</t>
    </r>
    <r>
      <rPr>
        <sz val="10"/>
        <color rgb="FF000000"/>
        <rFont val="Arial"/>
        <family val="0"/>
      </rPr>
      <t xml:space="preserve"> Verkauf Strom</t>
    </r>
  </si>
  <si>
    <t xml:space="preserve">Durch Erdsondenregeneration/-entlastung beibehaltene Erdsondentemperatur (30J -3°C) (Steigerung/Beibehaltung COP während Jahr und auf längere Zeit)</t>
  </si>
  <si>
    <t xml:space="preserve">Reduktion der Wärmepumpen-Belastung</t>
  </si>
  <si>
    <t xml:space="preserve">Verbesserte Stromerzeugung durch Kühlung / Längere Haltbarkeit / Weniger PV Verlust nach langer Zeit</t>
  </si>
  <si>
    <t xml:space="preserve">Energieersparnis elektrisch pro Jahr durch besseren COP von +1</t>
  </si>
  <si>
    <t xml:space="preserve">Ersparnis bei 100% (weniger)Einkauf elektrischer Energie</t>
  </si>
  <si>
    <t xml:space="preserve">Ersparnis bei 100% (mehr)Verkauf elektrischer Energie</t>
  </si>
  <si>
    <t xml:space="preserve">Ersparnis in 30 Jahren 100% Einkauf</t>
  </si>
  <si>
    <t xml:space="preserve">Ersparnis in 30 Jahren 100% Verkauf</t>
  </si>
  <si>
    <t xml:space="preserve">Sparpotential nach 30 Jahren 100% Einkauf (kein Solarstrom-Selbstverbrauch 0% Autark)</t>
  </si>
  <si>
    <t xml:space="preserve">Sparpotential nach 30 Jahren 100% Verkauf (Nur Solarstrom-Selbstverbrauch 100% Autark)</t>
  </si>
  <si>
    <t xml:space="preserve">Ideen</t>
  </si>
  <si>
    <t xml:space="preserve">Wasser statt Glykol als Betriebsmittel (darf nicht unter 0°C) (Bessere Wärmeaufnahme und Viskosität (Besser zum Pumpen)) -&gt; 50W Ersparnis… (Effizienz, Umweltverträglichkeit, Wartung, Haltbarkeit vs max. 1°C)</t>
  </si>
  <si>
    <t xml:space="preserve">Konkurrenz-Projekte</t>
  </si>
  <si>
    <t xml:space="preserve">Batterie-Speicher</t>
  </si>
  <si>
    <t xml:space="preserve">Verdoppelung Photovoltaik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</si>
</sst>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"/>
    <numFmt numFmtId="166" formatCode="[$CHF-807]\ #,##0.00;[RED][$CHF-807]&quot; -&quot;#,##0.00"/>
    <numFmt numFmtId="167" formatCode="#,##0.0"/>
    <numFmt numFmtId="168" formatCode="[$CHF-807]\ #,##0.00;[RED][$CHF-807]\ #,##0.00"/>
    <numFmt numFmtId="169" formatCode="0.0"/>
    <numFmt numFmtId="170" formatCode="#,##0.00"/>
    <numFmt numFmtId="171" formatCode="[$-807]0.00&quot; Jahre&quot;"/>
    <numFmt numFmtId="172" formatCode="#,##0.00\ [$CHF-807];[RED]\-#,##0.00\ [$CHF-807]"/>
    <numFmt numFmtId="173" formatCode="0.00"/>
  </numFmts>
  <fonts count="11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0"/>
    </font>
    <font>
      <i val="true"/>
      <sz val="10"/>
      <color rgb="FF000000"/>
      <name val="Arial"/>
      <family val="0"/>
    </font>
    <font>
      <b val="true"/>
      <i val="true"/>
      <sz val="10"/>
      <color rgb="FF000000"/>
      <name val="Arial"/>
      <family val="0"/>
    </font>
    <font>
      <b val="true"/>
      <sz val="11"/>
      <color rgb="FF000000"/>
      <name val="F"/>
      <family val="0"/>
    </font>
    <font>
      <b val="true"/>
      <sz val="10"/>
      <color rgb="FF000000"/>
      <name val="F"/>
      <family val="0"/>
    </font>
    <font>
      <sz val="10"/>
      <color rgb="FF000000"/>
      <name val="F"/>
      <family val="0"/>
    </font>
    <font>
      <sz val="11"/>
      <color rgb="FF000000"/>
      <name val="F"/>
      <family val="0"/>
    </font>
  </fonts>
  <fills count="16">
    <fill>
      <patternFill patternType="none"/>
    </fill>
    <fill>
      <patternFill patternType="gray125"/>
    </fill>
    <fill>
      <patternFill patternType="solid">
        <fgColor rgb="FFFFDE59"/>
        <bgColor rgb="FFFFD966"/>
      </patternFill>
    </fill>
    <fill>
      <patternFill patternType="solid">
        <fgColor rgb="FFBBE33D"/>
        <bgColor rgb="FFFFDE59"/>
      </patternFill>
    </fill>
    <fill>
      <patternFill patternType="solid">
        <fgColor rgb="FF729FCF"/>
        <bgColor rgb="FF969696"/>
      </patternFill>
    </fill>
    <fill>
      <patternFill patternType="solid">
        <fgColor rgb="FFFFFF38"/>
        <bgColor rgb="FFFFFF00"/>
      </patternFill>
    </fill>
    <fill>
      <patternFill patternType="solid">
        <fgColor rgb="FFFF860D"/>
        <bgColor rgb="FFFF6600"/>
      </patternFill>
    </fill>
    <fill>
      <patternFill patternType="solid">
        <fgColor rgb="FFFFFF00"/>
        <bgColor rgb="FFFFFF38"/>
      </patternFill>
    </fill>
    <fill>
      <patternFill patternType="solid">
        <fgColor rgb="FF3465A4"/>
        <bgColor rgb="FF3366FF"/>
      </patternFill>
    </fill>
    <fill>
      <patternFill patternType="solid">
        <fgColor rgb="FFFF6D6D"/>
        <bgColor rgb="FFFF6600"/>
      </patternFill>
    </fill>
    <fill>
      <patternFill patternType="solid">
        <fgColor rgb="FFFFD966"/>
        <bgColor rgb="FFFFDE59"/>
      </patternFill>
    </fill>
    <fill>
      <patternFill patternType="solid">
        <fgColor rgb="FFC9211E"/>
        <bgColor rgb="FF993366"/>
      </patternFill>
    </fill>
    <fill>
      <patternFill patternType="solid">
        <fgColor rgb="FFA1467E"/>
        <bgColor rgb="FF993366"/>
      </patternFill>
    </fill>
    <fill>
      <patternFill patternType="solid">
        <fgColor rgb="FFFFE994"/>
        <bgColor rgb="FFFFD966"/>
      </patternFill>
    </fill>
    <fill>
      <patternFill patternType="solid">
        <fgColor rgb="FF808080"/>
        <bgColor rgb="FF969696"/>
      </patternFill>
    </fill>
    <fill>
      <patternFill patternType="solid">
        <fgColor rgb="FFF6F9D4"/>
        <bgColor rgb="FFFF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5" fillId="7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1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1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1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0" fillId="6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15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15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7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15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15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4" fillId="1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15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11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11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11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11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4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4" fillId="14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5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0" fillId="7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justify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A1467E"/>
      <rgbColor rgb="FFF6F9D4"/>
      <rgbColor rgb="FFCCFFFF"/>
      <rgbColor rgb="FF660066"/>
      <rgbColor rgb="FFFF6D6D"/>
      <rgbColor rgb="FF0066CC"/>
      <rgbColor rgb="FFCCCCFF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994"/>
      <rgbColor rgb="FF99CCFF"/>
      <rgbColor rgb="FFFF99CC"/>
      <rgbColor rgb="FFCC99FF"/>
      <rgbColor rgb="FFFFD966"/>
      <rgbColor rgb="FF3366FF"/>
      <rgbColor rgb="FF33CCCC"/>
      <rgbColor rgb="FFBBE33D"/>
      <rgbColor rgb="FFFFDE59"/>
      <rgbColor rgb="FFFF860D"/>
      <rgbColor rgb="FFFF6600"/>
      <rgbColor rgb="FF3465A4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6</xdr:col>
      <xdr:colOff>849960</xdr:colOff>
      <xdr:row>76</xdr:row>
      <xdr:rowOff>91800</xdr:rowOff>
    </xdr:from>
    <xdr:to>
      <xdr:col>10</xdr:col>
      <xdr:colOff>329400</xdr:colOff>
      <xdr:row>94</xdr:row>
      <xdr:rowOff>50760</xdr:rowOff>
    </xdr:to>
    <xdr:pic>
      <xdr:nvPicPr>
        <xdr:cNvPr id="0" name="Bild 1" descr=""/>
        <xdr:cNvPicPr/>
      </xdr:nvPicPr>
      <xdr:blipFill>
        <a:blip r:embed="rId1"/>
        <a:stretch/>
      </xdr:blipFill>
      <xdr:spPr>
        <a:xfrm>
          <a:off x="12289320" y="12708000"/>
          <a:ext cx="3918240" cy="2948040"/>
        </a:xfrm>
        <a:prstGeom prst="rect">
          <a:avLst/>
        </a:prstGeom>
        <a:ln w="1908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energie-experten.org/heizung/waermepumpe/waermepumpenheizung/wirkungsgrad" TargetMode="External"/><Relationship Id="rId2" Type="http://schemas.openxmlformats.org/officeDocument/2006/relationships/hyperlink" Target="https://www.heizsparer.de/spartipps/heizung-optimieren/optimale-vorlauftemperatur-einstellen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56" activeCellId="0" sqref="L56"/>
    </sheetView>
  </sheetViews>
  <sheetFormatPr defaultColWidth="11.48828125" defaultRowHeight="13.9" zeroHeight="false" outlineLevelRow="0" outlineLevelCol="0"/>
  <cols>
    <col collapsed="false" customWidth="true" hidden="false" outlineLevel="0" max="1" min="1" style="1" width="17.84"/>
    <col collapsed="false" customWidth="true" hidden="false" outlineLevel="0" max="2" min="2" style="1" width="14.86"/>
    <col collapsed="false" customWidth="true" hidden="false" outlineLevel="0" max="3" min="3" style="1" width="93.92"/>
    <col collapsed="false" customWidth="true" hidden="false" outlineLevel="0" max="4" min="4" style="1" width="5"/>
    <col collapsed="false" customWidth="true" hidden="false" outlineLevel="0" max="5" min="5" style="1" width="4.6"/>
    <col collapsed="false" customWidth="true" hidden="false" outlineLevel="0" max="6" min="6" style="1" width="26.08"/>
    <col collapsed="false" customWidth="true" hidden="false" outlineLevel="0" max="7" min="7" style="1" width="19.59"/>
    <col collapsed="false" customWidth="true" hidden="false" outlineLevel="0" max="8" min="8" style="1" width="18.38"/>
    <col collapsed="false" customWidth="true" hidden="false" outlineLevel="0" max="9" min="9" style="1" width="10.13"/>
    <col collapsed="false" customWidth="true" hidden="false" outlineLevel="0" max="10" min="10" style="1" width="14.86"/>
    <col collapsed="false" customWidth="true" hidden="false" outlineLevel="0" max="11" min="11" style="1" width="15.13"/>
    <col collapsed="false" customWidth="true" hidden="false" outlineLevel="0" max="12" min="12" style="1" width="22.16"/>
    <col collapsed="false" customWidth="false" hidden="false" outlineLevel="0" max="13" min="13" style="1" width="11.49"/>
    <col collapsed="false" customWidth="true" hidden="false" outlineLevel="0" max="14" min="14" style="1" width="11.89"/>
    <col collapsed="false" customWidth="true" hidden="false" outlineLevel="0" max="15" min="15" style="1" width="21.89"/>
    <col collapsed="false" customWidth="true" hidden="false" outlineLevel="0" max="65" min="16" style="1" width="11.89"/>
    <col collapsed="false" customWidth="false" hidden="false" outlineLevel="0" max="16384" min="66" style="1" width="11.49"/>
  </cols>
  <sheetData>
    <row r="1" customFormat="false" ht="12.75" hidden="false" customHeight="false" outlineLevel="0" collapsed="false">
      <c r="A1" s="2" t="s">
        <v>0</v>
      </c>
      <c r="B1" s="2"/>
      <c r="C1" s="2"/>
      <c r="G1" s="3" t="s">
        <v>1</v>
      </c>
    </row>
    <row r="2" customFormat="false" ht="12.75" hidden="false" customHeight="false" outlineLevel="0" collapsed="false">
      <c r="A2" s="4" t="n">
        <v>0.18</v>
      </c>
      <c r="B2" s="3" t="s">
        <v>2</v>
      </c>
      <c r="C2" s="5" t="s">
        <v>3</v>
      </c>
      <c r="G2" s="6" t="s">
        <v>4</v>
      </c>
    </row>
    <row r="3" customFormat="false" ht="12.75" hidden="false" customHeight="false" outlineLevel="0" collapsed="false">
      <c r="A3" s="4" t="n">
        <v>30</v>
      </c>
      <c r="B3" s="3" t="s">
        <v>5</v>
      </c>
      <c r="C3" s="5" t="s">
        <v>6</v>
      </c>
      <c r="G3" s="7" t="s">
        <v>7</v>
      </c>
      <c r="H3" s="7"/>
      <c r="I3" s="8" t="s">
        <v>8</v>
      </c>
      <c r="J3" s="9"/>
    </row>
    <row r="4" customFormat="false" ht="12.75" hidden="false" customHeight="false" outlineLevel="0" collapsed="false">
      <c r="A4" s="10" t="n">
        <v>0.9</v>
      </c>
      <c r="B4" s="11" t="s">
        <v>9</v>
      </c>
      <c r="C4" s="5" t="s">
        <v>10</v>
      </c>
      <c r="I4" s="12" t="n">
        <v>3243.85</v>
      </c>
      <c r="J4" s="13"/>
    </row>
    <row r="5" customFormat="false" ht="12.75" hidden="false" customHeight="false" outlineLevel="0" collapsed="false">
      <c r="A5" s="3" t="n">
        <f aca="false">A2*A3*A4</f>
        <v>4.86</v>
      </c>
      <c r="B5" s="3" t="s">
        <v>2</v>
      </c>
      <c r="C5" s="5" t="s">
        <v>11</v>
      </c>
    </row>
    <row r="6" customFormat="false" ht="12.75" hidden="false" customHeight="false" outlineLevel="0" collapsed="false">
      <c r="A6" s="4" t="n">
        <v>6000</v>
      </c>
      <c r="B6" s="3" t="s">
        <v>12</v>
      </c>
      <c r="C6" s="14" t="s">
        <v>13</v>
      </c>
    </row>
    <row r="7" customFormat="false" ht="12.75" hidden="false" customHeight="false" outlineLevel="0" collapsed="false">
      <c r="A7" s="4" t="n">
        <v>0.31</v>
      </c>
      <c r="B7" s="3" t="s">
        <v>9</v>
      </c>
      <c r="C7" s="15" t="s">
        <v>14</v>
      </c>
    </row>
    <row r="8" customFormat="false" ht="12.75" hidden="false" customHeight="false" outlineLevel="0" collapsed="false">
      <c r="A8" s="16" t="n">
        <v>1000</v>
      </c>
      <c r="B8" s="7" t="s">
        <v>15</v>
      </c>
      <c r="C8" s="7" t="s">
        <v>16</v>
      </c>
    </row>
    <row r="9" customFormat="false" ht="12.75" hidden="false" customHeight="false" outlineLevel="0" collapsed="false">
      <c r="A9" s="7" t="n">
        <f aca="false">A8*A2</f>
        <v>180</v>
      </c>
      <c r="B9" s="7" t="s">
        <v>15</v>
      </c>
      <c r="C9" s="5" t="s">
        <v>17</v>
      </c>
      <c r="G9" s="5" t="s">
        <v>18</v>
      </c>
      <c r="I9" s="8" t="s">
        <v>19</v>
      </c>
      <c r="J9" s="9"/>
    </row>
    <row r="10" customFormat="false" ht="12.75" hidden="false" customHeight="false" outlineLevel="0" collapsed="false">
      <c r="A10" s="17" t="n">
        <f aca="false">A9*A3</f>
        <v>5400</v>
      </c>
      <c r="B10" s="3" t="s">
        <v>12</v>
      </c>
      <c r="C10" s="5" t="s">
        <v>20</v>
      </c>
      <c r="G10" s="18" t="s">
        <v>21</v>
      </c>
      <c r="I10" s="19" t="n">
        <v>1</v>
      </c>
      <c r="J10" s="13"/>
      <c r="O10" s="20"/>
      <c r="P10" s="21"/>
    </row>
    <row r="11" customFormat="false" ht="12.75" hidden="false" customHeight="false" outlineLevel="0" collapsed="false">
      <c r="A11" s="22" t="n">
        <f aca="false">A9*A23</f>
        <v>3780</v>
      </c>
      <c r="B11" s="11" t="s">
        <v>12</v>
      </c>
      <c r="C11" s="5" t="s">
        <v>22</v>
      </c>
      <c r="D11" s="1" t="s">
        <v>23</v>
      </c>
      <c r="G11" s="23" t="s">
        <v>24</v>
      </c>
    </row>
    <row r="12" customFormat="false" ht="12.75" hidden="false" customHeight="false" outlineLevel="0" collapsed="false">
      <c r="A12" s="24" t="n">
        <f aca="false">A10+A11</f>
        <v>9180</v>
      </c>
      <c r="B12" s="25" t="s">
        <v>12</v>
      </c>
      <c r="C12" s="25" t="s">
        <v>25</v>
      </c>
      <c r="I12" s="8" t="s">
        <v>26</v>
      </c>
      <c r="J12" s="9"/>
    </row>
    <row r="13" customFormat="false" ht="12.75" hidden="false" customHeight="false" outlineLevel="0" collapsed="false">
      <c r="A13" s="26" t="n">
        <v>9.8</v>
      </c>
      <c r="B13" s="3" t="s">
        <v>27</v>
      </c>
      <c r="C13" s="1" t="s">
        <v>28</v>
      </c>
      <c r="I13" s="27"/>
      <c r="J13" s="28"/>
    </row>
    <row r="14" customFormat="false" ht="12.75" hidden="false" customHeight="false" outlineLevel="0" collapsed="false">
      <c r="A14" s="29" t="n">
        <v>2500</v>
      </c>
      <c r="B14" s="3" t="s">
        <v>29</v>
      </c>
      <c r="C14" s="1" t="s">
        <v>30</v>
      </c>
      <c r="G14" s="14" t="s">
        <v>31</v>
      </c>
      <c r="I14" s="19" t="n">
        <v>0.27</v>
      </c>
      <c r="J14" s="13"/>
    </row>
    <row r="15" customFormat="false" ht="12.75" hidden="false" customHeight="false" outlineLevel="0" collapsed="false">
      <c r="A15" s="30" t="n">
        <v>0.8</v>
      </c>
      <c r="B15" s="11" t="s">
        <v>9</v>
      </c>
      <c r="C15" s="1" t="s">
        <v>32</v>
      </c>
      <c r="G15" s="31" t="s">
        <v>33</v>
      </c>
    </row>
    <row r="16" customFormat="false" ht="12.75" hidden="false" customHeight="false" outlineLevel="0" collapsed="false">
      <c r="A16" s="32" t="n">
        <f aca="false">A14*A13*A15</f>
        <v>19600</v>
      </c>
      <c r="B16" s="33" t="s">
        <v>34</v>
      </c>
      <c r="C16" s="33" t="s">
        <v>35</v>
      </c>
      <c r="I16" s="8" t="s">
        <v>36</v>
      </c>
      <c r="J16" s="9"/>
      <c r="N16" s="34"/>
      <c r="O16" s="34"/>
    </row>
    <row r="17" customFormat="false" ht="12.75" hidden="false" customHeight="false" outlineLevel="0" collapsed="false">
      <c r="A17" s="22" t="n">
        <f aca="false">A16/4</f>
        <v>4900</v>
      </c>
      <c r="B17" s="11" t="s">
        <v>34</v>
      </c>
      <c r="C17" s="31" t="s">
        <v>37</v>
      </c>
      <c r="I17" s="8"/>
      <c r="J17" s="9"/>
      <c r="N17" s="34"/>
      <c r="O17" s="34"/>
    </row>
    <row r="18" customFormat="false" ht="12.75" hidden="false" customHeight="false" outlineLevel="0" collapsed="false">
      <c r="A18" s="35"/>
      <c r="B18" s="36"/>
      <c r="C18" s="36"/>
      <c r="I18" s="8"/>
      <c r="J18" s="9"/>
      <c r="N18" s="34"/>
      <c r="O18" s="34"/>
    </row>
    <row r="19" customFormat="false" ht="12.75" hidden="false" customHeight="false" outlineLevel="0" collapsed="false">
      <c r="A19" s="2" t="s">
        <v>38</v>
      </c>
      <c r="B19" s="2"/>
      <c r="C19" s="2"/>
      <c r="I19" s="19" t="n">
        <v>0.1</v>
      </c>
      <c r="J19" s="13"/>
      <c r="O19" s="34"/>
    </row>
    <row r="20" customFormat="false" ht="12.75" hidden="false" customHeight="false" outlineLevel="0" collapsed="false">
      <c r="A20" s="37" t="n">
        <v>0.6</v>
      </c>
      <c r="B20" s="7" t="s">
        <v>9</v>
      </c>
      <c r="C20" s="18" t="s">
        <v>39</v>
      </c>
      <c r="D20" s="20"/>
      <c r="G20" s="38" t="s">
        <v>40</v>
      </c>
      <c r="H20" s="38"/>
      <c r="I20" s="38"/>
      <c r="J20" s="38"/>
      <c r="O20" s="34"/>
    </row>
    <row r="21" customFormat="false" ht="12.75" hidden="false" customHeight="false" outlineLevel="0" collapsed="false">
      <c r="A21" s="10" t="n">
        <v>0.9</v>
      </c>
      <c r="B21" s="11" t="s">
        <v>9</v>
      </c>
      <c r="C21" s="18" t="s">
        <v>41</v>
      </c>
    </row>
    <row r="22" customFormat="false" ht="12.75" hidden="false" customHeight="false" outlineLevel="0" collapsed="false">
      <c r="A22" s="7" t="n">
        <f aca="false">A8*A20*A21</f>
        <v>540</v>
      </c>
      <c r="B22" s="7" t="s">
        <v>42</v>
      </c>
      <c r="C22" s="18" t="s">
        <v>43</v>
      </c>
      <c r="E22" s="36"/>
      <c r="G22" s="39" t="s">
        <v>44</v>
      </c>
      <c r="H22" s="39"/>
      <c r="I22" s="39"/>
      <c r="J22" s="39"/>
      <c r="K22" s="39"/>
    </row>
    <row r="23" customFormat="false" ht="12.75" hidden="false" customHeight="false" outlineLevel="0" collapsed="false">
      <c r="A23" s="10" t="n">
        <v>21</v>
      </c>
      <c r="B23" s="11" t="s">
        <v>5</v>
      </c>
      <c r="C23" s="18" t="s">
        <v>45</v>
      </c>
      <c r="D23" s="36"/>
      <c r="E23" s="36"/>
      <c r="G23" s="40" t="s">
        <v>46</v>
      </c>
      <c r="H23" s="41" t="n">
        <v>25000</v>
      </c>
    </row>
    <row r="24" customFormat="false" ht="12.75" hidden="false" customHeight="false" outlineLevel="0" collapsed="false">
      <c r="A24" s="32" t="n">
        <f aca="false">A23*A22</f>
        <v>11340</v>
      </c>
      <c r="B24" s="33" t="s">
        <v>34</v>
      </c>
      <c r="C24" s="33" t="s">
        <v>47</v>
      </c>
      <c r="D24" s="36"/>
      <c r="E24" s="36"/>
      <c r="G24" s="27" t="s">
        <v>48</v>
      </c>
      <c r="H24" s="42" t="n">
        <f aca="false">SUM(H10:H23)</f>
        <v>25000</v>
      </c>
      <c r="I24" s="0"/>
      <c r="J24" s="0"/>
      <c r="K24" s="0"/>
    </row>
    <row r="25" customFormat="false" ht="12.75" hidden="false" customHeight="false" outlineLevel="0" collapsed="false">
      <c r="A25" s="10" t="n">
        <v>0.9</v>
      </c>
      <c r="B25" s="11" t="s">
        <v>9</v>
      </c>
      <c r="C25" s="18" t="s">
        <v>49</v>
      </c>
      <c r="D25" s="36"/>
      <c r="E25" s="36"/>
      <c r="G25" s="43" t="s">
        <v>50</v>
      </c>
      <c r="H25" s="44" t="n">
        <v>441.55</v>
      </c>
      <c r="K25" s="28"/>
    </row>
    <row r="26" customFormat="false" ht="15.75" hidden="false" customHeight="true" outlineLevel="0" collapsed="false">
      <c r="A26" s="10" t="n">
        <v>0.9</v>
      </c>
      <c r="B26" s="11" t="s">
        <v>9</v>
      </c>
      <c r="C26" s="18" t="s">
        <v>51</v>
      </c>
      <c r="D26" s="36"/>
      <c r="E26" s="36"/>
      <c r="G26" s="45" t="s">
        <v>52</v>
      </c>
      <c r="H26" s="41" t="n">
        <v>500</v>
      </c>
      <c r="I26" s="1" t="s">
        <v>53</v>
      </c>
      <c r="K26" s="28"/>
      <c r="P26" s="20"/>
    </row>
    <row r="27" customFormat="false" ht="12.75" hidden="false" customHeight="false" outlineLevel="0" collapsed="false">
      <c r="A27" s="11" t="n">
        <f aca="false">A25*(1-A32)*A24*A26</f>
        <v>4592.7</v>
      </c>
      <c r="B27" s="11" t="s">
        <v>54</v>
      </c>
      <c r="C27" s="18" t="s">
        <v>55</v>
      </c>
      <c r="D27" s="36" t="s">
        <v>56</v>
      </c>
      <c r="E27" s="36"/>
      <c r="G27" s="27" t="s">
        <v>57</v>
      </c>
      <c r="H27" s="34" t="n">
        <f aca="false">A14*I10</f>
        <v>2500</v>
      </c>
      <c r="K27" s="28"/>
    </row>
    <row r="28" customFormat="false" ht="23.85" hidden="false" customHeight="false" outlineLevel="0" collapsed="false">
      <c r="A28" s="46" t="n">
        <v>4.5</v>
      </c>
      <c r="B28" s="47" t="s">
        <v>9</v>
      </c>
      <c r="C28" s="47" t="s">
        <v>58</v>
      </c>
      <c r="D28" s="36" t="s">
        <v>59</v>
      </c>
      <c r="E28" s="36"/>
      <c r="G28" s="27" t="s">
        <v>60</v>
      </c>
      <c r="H28" s="48" t="n">
        <f aca="false">(A10-(A10*A29))*I19*-1</f>
        <v>-291.6</v>
      </c>
      <c r="J28" s="1" t="s">
        <v>61</v>
      </c>
      <c r="K28" s="28" t="s">
        <v>62</v>
      </c>
      <c r="L28" s="34" t="s">
        <v>63</v>
      </c>
    </row>
    <row r="29" customFormat="false" ht="12.75" hidden="false" customHeight="false" outlineLevel="0" collapsed="false">
      <c r="A29" s="10" t="n">
        <v>0.46</v>
      </c>
      <c r="B29" s="11" t="s">
        <v>9</v>
      </c>
      <c r="C29" s="5" t="s">
        <v>64</v>
      </c>
      <c r="D29" s="36" t="s">
        <v>65</v>
      </c>
      <c r="E29" s="36"/>
      <c r="G29" s="27" t="s">
        <v>66</v>
      </c>
      <c r="H29" s="34" t="n">
        <f aca="false">H28*A7*-1</f>
        <v>90.396</v>
      </c>
      <c r="K29" s="28"/>
      <c r="L29" s="34"/>
    </row>
    <row r="30" customFormat="false" ht="12.75" hidden="false" customHeight="false" outlineLevel="0" collapsed="false">
      <c r="A30" s="10" t="n">
        <v>0.4</v>
      </c>
      <c r="B30" s="11" t="s">
        <v>9</v>
      </c>
      <c r="C30" s="5" t="s">
        <v>67</v>
      </c>
      <c r="D30" s="36"/>
      <c r="E30" s="36"/>
      <c r="G30" s="27" t="s">
        <v>68</v>
      </c>
      <c r="H30" s="34" t="n">
        <f aca="false">(A6-(A10*A30))*I14</f>
        <v>1036.8</v>
      </c>
      <c r="K30" s="28"/>
      <c r="L30" s="34" t="s">
        <v>69</v>
      </c>
    </row>
    <row r="31" customFormat="false" ht="12.75" hidden="false" customHeight="false" outlineLevel="0" collapsed="false">
      <c r="A31" s="36"/>
      <c r="B31" s="36"/>
      <c r="C31" s="36"/>
      <c r="D31" s="36"/>
      <c r="E31" s="36"/>
      <c r="G31" s="12" t="s">
        <v>70</v>
      </c>
      <c r="H31" s="49" t="n">
        <f aca="false">SUM(H25:H30)</f>
        <v>4277.146</v>
      </c>
      <c r="I31" s="50"/>
      <c r="J31" s="51" t="n">
        <f aca="false">H31*20</f>
        <v>85542.92</v>
      </c>
      <c r="K31" s="52" t="n">
        <f aca="false">H31*30</f>
        <v>128314.38</v>
      </c>
    </row>
    <row r="32" customFormat="false" ht="12.75" hidden="false" customHeight="false" outlineLevel="0" collapsed="false">
      <c r="A32" s="53" t="n">
        <v>0.5</v>
      </c>
      <c r="B32" s="54" t="s">
        <v>9</v>
      </c>
      <c r="C32" s="55" t="s">
        <v>71</v>
      </c>
      <c r="D32" s="36"/>
      <c r="E32" s="36"/>
      <c r="J32" s="56"/>
      <c r="K32" s="57"/>
    </row>
    <row r="33" customFormat="false" ht="12.75" hidden="false" customHeight="false" outlineLevel="0" collapsed="false">
      <c r="A33" s="58" t="n">
        <f aca="false">A24*A32</f>
        <v>5670</v>
      </c>
      <c r="B33" s="54" t="s">
        <v>34</v>
      </c>
      <c r="C33" s="55" t="s">
        <v>72</v>
      </c>
      <c r="D33" s="36"/>
      <c r="E33" s="36"/>
      <c r="G33" s="59" t="s">
        <v>73</v>
      </c>
      <c r="H33" s="60"/>
      <c r="I33" s="61"/>
      <c r="J33" s="62" t="n">
        <f aca="false">H23+(H31*20)</f>
        <v>110542.92</v>
      </c>
      <c r="K33" s="63" t="n">
        <f aca="false">H23+(H31*30)</f>
        <v>153314.38</v>
      </c>
    </row>
    <row r="34" customFormat="false" ht="12.75" hidden="false" customHeight="false" outlineLevel="0" collapsed="false">
      <c r="A34" s="64"/>
      <c r="B34" s="65"/>
      <c r="C34" s="65"/>
      <c r="D34" s="36"/>
      <c r="E34" s="36"/>
    </row>
    <row r="35" customFormat="false" ht="12.75" hidden="false" customHeight="false" outlineLevel="0" collapsed="false">
      <c r="A35" s="5" t="n">
        <f aca="false">((A16-A33)/A28)*A30*A28</f>
        <v>5572</v>
      </c>
      <c r="B35" s="31" t="s">
        <v>34</v>
      </c>
      <c r="C35" s="23" t="s">
        <v>74</v>
      </c>
      <c r="D35" s="36" t="s">
        <v>75</v>
      </c>
      <c r="E35" s="36"/>
    </row>
    <row r="36" customFormat="false" ht="14.25" hidden="false" customHeight="true" outlineLevel="0" collapsed="false">
      <c r="A36" s="66" t="n">
        <f aca="false">A35/A28</f>
        <v>1238.22222222222</v>
      </c>
      <c r="B36" s="5" t="s">
        <v>76</v>
      </c>
      <c r="C36" s="23" t="s">
        <v>77</v>
      </c>
      <c r="D36" s="36"/>
      <c r="E36" s="36"/>
      <c r="G36" s="39" t="s">
        <v>78</v>
      </c>
      <c r="H36" s="39"/>
      <c r="I36" s="39"/>
      <c r="J36" s="39"/>
      <c r="K36" s="39"/>
    </row>
    <row r="37" customFormat="false" ht="14.25" hidden="false" customHeight="true" outlineLevel="0" collapsed="false">
      <c r="A37" s="67" t="n">
        <f aca="false">(A16-A33)/A28</f>
        <v>3095.55555555556</v>
      </c>
      <c r="B37" s="14" t="s">
        <v>76</v>
      </c>
      <c r="C37" s="23" t="s">
        <v>79</v>
      </c>
      <c r="D37" s="36" t="s">
        <v>80</v>
      </c>
      <c r="E37" s="36"/>
      <c r="G37" s="68" t="s">
        <v>81</v>
      </c>
      <c r="H37" s="69" t="n">
        <f aca="false">140936.73</f>
        <v>140936.73</v>
      </c>
      <c r="K37" s="28"/>
    </row>
    <row r="38" customFormat="false" ht="12.75" hidden="false" customHeight="false" outlineLevel="0" collapsed="false">
      <c r="A38" s="67" t="n">
        <f aca="false">A37-A36</f>
        <v>1857.33333333333</v>
      </c>
      <c r="B38" s="14" t="s">
        <v>76</v>
      </c>
      <c r="C38" s="23" t="s">
        <v>82</v>
      </c>
      <c r="D38" s="36"/>
      <c r="E38" s="36"/>
      <c r="G38" s="68" t="s">
        <v>83</v>
      </c>
      <c r="H38" s="69" t="n">
        <v>-4000</v>
      </c>
      <c r="J38" s="34"/>
      <c r="K38" s="28"/>
    </row>
    <row r="39" customFormat="false" ht="12.75" hidden="false" customHeight="false" outlineLevel="0" collapsed="false">
      <c r="A39" s="70" t="n">
        <f aca="false">A38*I14</f>
        <v>501.48</v>
      </c>
      <c r="B39" s="14" t="s">
        <v>84</v>
      </c>
      <c r="C39" s="23" t="s">
        <v>85</v>
      </c>
      <c r="D39" s="36"/>
      <c r="E39" s="36"/>
      <c r="F39" s="36"/>
      <c r="G39" s="68"/>
      <c r="H39" s="69"/>
      <c r="J39" s="34"/>
      <c r="K39" s="28"/>
      <c r="M39" s="1" t="s">
        <v>86</v>
      </c>
    </row>
    <row r="40" customFormat="false" ht="12.75" hidden="false" customHeight="false" outlineLevel="0" collapsed="false">
      <c r="A40" s="14" t="n">
        <f aca="false">A38*A28</f>
        <v>8358</v>
      </c>
      <c r="B40" s="14" t="s">
        <v>76</v>
      </c>
      <c r="C40" s="23" t="s">
        <v>87</v>
      </c>
      <c r="D40" s="36"/>
      <c r="E40" s="36"/>
      <c r="F40" s="36"/>
      <c r="G40" s="68"/>
      <c r="H40" s="69"/>
      <c r="K40" s="28"/>
      <c r="M40" s="1" t="s">
        <v>88</v>
      </c>
    </row>
    <row r="41" customFormat="false" ht="12.75" hidden="false" customHeight="false" outlineLevel="0" collapsed="false">
      <c r="A41" s="71" t="n">
        <f aca="false">A37+A6</f>
        <v>9095.55555555556</v>
      </c>
      <c r="B41" s="25" t="s">
        <v>76</v>
      </c>
      <c r="C41" s="25" t="s">
        <v>89</v>
      </c>
      <c r="D41" s="36"/>
      <c r="E41" s="36"/>
      <c r="F41" s="36"/>
      <c r="G41" s="68"/>
      <c r="H41" s="69"/>
      <c r="K41" s="28"/>
      <c r="M41" s="1" t="s">
        <v>90</v>
      </c>
    </row>
    <row r="42" customFormat="false" ht="12.75" hidden="false" customHeight="false" outlineLevel="0" collapsed="false">
      <c r="A42" s="14" t="n">
        <f aca="false">A12*A29</f>
        <v>4222.8</v>
      </c>
      <c r="B42" s="14" t="s">
        <v>76</v>
      </c>
      <c r="C42" s="14" t="s">
        <v>91</v>
      </c>
      <c r="D42" s="36"/>
      <c r="E42" s="36"/>
      <c r="F42" s="36"/>
      <c r="G42" s="68"/>
      <c r="H42" s="69"/>
      <c r="K42" s="28"/>
    </row>
    <row r="43" customFormat="false" ht="12.75" hidden="false" customHeight="false" outlineLevel="0" collapsed="false">
      <c r="A43" s="71" t="n">
        <f aca="false">A41*A30</f>
        <v>3638.22222222222</v>
      </c>
      <c r="B43" s="25" t="s">
        <v>76</v>
      </c>
      <c r="C43" s="25" t="s">
        <v>92</v>
      </c>
      <c r="D43" s="36"/>
      <c r="E43" s="36"/>
      <c r="F43" s="36"/>
      <c r="G43" s="68"/>
      <c r="H43" s="69"/>
      <c r="K43" s="28"/>
    </row>
    <row r="44" customFormat="false" ht="12.75" hidden="false" customHeight="false" outlineLevel="0" collapsed="false">
      <c r="A44" s="11" t="n">
        <f aca="false">A12-A42</f>
        <v>4957.2</v>
      </c>
      <c r="B44" s="11" t="s">
        <v>76</v>
      </c>
      <c r="C44" s="5" t="s">
        <v>93</v>
      </c>
      <c r="D44" s="36"/>
      <c r="E44" s="36"/>
      <c r="F44" s="36"/>
      <c r="G44" s="68"/>
      <c r="H44" s="69"/>
      <c r="K44" s="28"/>
    </row>
    <row r="45" customFormat="false" ht="12.75" hidden="false" customHeight="false" outlineLevel="0" collapsed="false">
      <c r="A45" s="72" t="n">
        <f aca="false">A41-A42</f>
        <v>4872.75555555556</v>
      </c>
      <c r="B45" s="11" t="s">
        <v>76</v>
      </c>
      <c r="C45" s="14" t="s">
        <v>94</v>
      </c>
      <c r="D45" s="36"/>
      <c r="E45" s="36"/>
      <c r="F45" s="36"/>
      <c r="G45" s="68"/>
      <c r="H45" s="69"/>
      <c r="K45" s="28"/>
      <c r="M45" s="1" t="s">
        <v>95</v>
      </c>
    </row>
    <row r="46" customFormat="false" ht="17.9" hidden="false" customHeight="false" outlineLevel="0" collapsed="false">
      <c r="A46" s="24" t="n">
        <f aca="false">(A6+A37)-A12</f>
        <v>-84.4444444444453</v>
      </c>
      <c r="B46" s="25" t="s">
        <v>76</v>
      </c>
      <c r="C46" s="73" t="s">
        <v>96</v>
      </c>
      <c r="D46" s="36"/>
      <c r="E46" s="36"/>
      <c r="F46" s="36"/>
      <c r="G46" s="68"/>
      <c r="H46" s="69"/>
      <c r="K46" s="28"/>
    </row>
    <row r="47" customFormat="false" ht="12.75" hidden="false" customHeight="false" outlineLevel="0" collapsed="false">
      <c r="D47" s="14"/>
      <c r="E47" s="36"/>
      <c r="F47" s="36"/>
      <c r="G47" s="68"/>
      <c r="H47" s="69"/>
      <c r="K47" s="28"/>
    </row>
    <row r="48" customFormat="false" ht="12.75" hidden="false" customHeight="false" outlineLevel="0" collapsed="false">
      <c r="A48" s="74" t="n">
        <f aca="false">A16-A33-A35-A40</f>
        <v>0</v>
      </c>
      <c r="B48" s="31" t="s">
        <v>34</v>
      </c>
      <c r="C48" s="31" t="s">
        <v>97</v>
      </c>
      <c r="D48" s="36"/>
      <c r="E48" s="36"/>
      <c r="F48" s="36"/>
      <c r="G48" s="68"/>
      <c r="H48" s="69"/>
      <c r="K48" s="28"/>
    </row>
    <row r="49" customFormat="false" ht="12.75" hidden="false" customHeight="false" outlineLevel="0" collapsed="false">
      <c r="A49" s="75" t="n">
        <f aca="false">(A16-A33-((A16-A33)/A28))*-1</f>
        <v>-10834.4444444444</v>
      </c>
      <c r="B49" s="76" t="s">
        <v>34</v>
      </c>
      <c r="C49" s="76" t="s">
        <v>98</v>
      </c>
      <c r="D49" s="36"/>
      <c r="E49" s="36"/>
      <c r="F49" s="36"/>
      <c r="G49" s="68"/>
      <c r="H49" s="69"/>
      <c r="K49" s="28"/>
    </row>
    <row r="50" customFormat="false" ht="12.75" hidden="false" customHeight="false" outlineLevel="0" collapsed="false">
      <c r="A50" s="18" t="n">
        <f aca="false">A24*(1-A32)</f>
        <v>5670</v>
      </c>
      <c r="B50" s="18" t="s">
        <v>34</v>
      </c>
      <c r="C50" s="18" t="s">
        <v>99</v>
      </c>
      <c r="D50" s="36"/>
      <c r="E50" s="77"/>
      <c r="F50" s="36"/>
      <c r="G50" s="68"/>
      <c r="H50" s="69"/>
      <c r="K50" s="28"/>
    </row>
    <row r="51" customFormat="false" ht="12.75" hidden="false" customHeight="false" outlineLevel="0" collapsed="false">
      <c r="A51" s="78" t="n">
        <v>1248</v>
      </c>
      <c r="B51" s="31" t="s">
        <v>34</v>
      </c>
      <c r="C51" s="31" t="s">
        <v>100</v>
      </c>
      <c r="D51" s="65"/>
      <c r="E51" s="65"/>
      <c r="F51" s="65"/>
      <c r="G51" s="27" t="s">
        <v>48</v>
      </c>
      <c r="H51" s="42" t="n">
        <f aca="false">SUM(H37:H50)</f>
        <v>136936.73</v>
      </c>
      <c r="K51" s="28"/>
    </row>
    <row r="52" customFormat="false" ht="12.75" hidden="false" customHeight="false" outlineLevel="0" collapsed="false">
      <c r="A52" s="79" t="n">
        <f aca="false">SUM(A48:A51)</f>
        <v>-3916.44444444445</v>
      </c>
      <c r="B52" s="33" t="s">
        <v>34</v>
      </c>
      <c r="C52" s="33" t="s">
        <v>101</v>
      </c>
      <c r="D52" s="65"/>
      <c r="E52" s="65"/>
      <c r="F52" s="65"/>
      <c r="K52" s="28"/>
    </row>
    <row r="53" customFormat="false" ht="12.75" hidden="false" customHeight="false" outlineLevel="0" collapsed="false">
      <c r="D53" s="80"/>
      <c r="E53" s="80"/>
      <c r="F53" s="65"/>
      <c r="G53" s="27" t="s">
        <v>50</v>
      </c>
      <c r="H53" s="69" t="n">
        <v>0</v>
      </c>
      <c r="I53" s="1" t="s">
        <v>102</v>
      </c>
      <c r="K53" s="28"/>
    </row>
    <row r="54" customFormat="false" ht="14.9" hidden="false" customHeight="false" outlineLevel="0" collapsed="false">
      <c r="A54" s="81" t="s">
        <v>103</v>
      </c>
      <c r="B54" s="81"/>
      <c r="C54" s="81"/>
      <c r="D54" s="36"/>
      <c r="E54" s="36"/>
      <c r="F54" s="36"/>
      <c r="G54" s="27" t="s">
        <v>60</v>
      </c>
      <c r="H54" s="34" t="n">
        <f aca="false">(A12-(A12*A29))*I19*-1</f>
        <v>-495.72</v>
      </c>
      <c r="K54" s="28"/>
    </row>
    <row r="55" customFormat="false" ht="12.75" hidden="false" customHeight="false" outlineLevel="0" collapsed="false">
      <c r="A55" s="4" t="n">
        <v>1.16</v>
      </c>
      <c r="B55" s="3" t="s">
        <v>76</v>
      </c>
      <c r="C55" s="3" t="s">
        <v>104</v>
      </c>
      <c r="D55" s="36"/>
      <c r="E55" s="36"/>
      <c r="F55" s="36"/>
      <c r="G55" s="27" t="s">
        <v>66</v>
      </c>
      <c r="H55" s="34" t="n">
        <f aca="false">H54*A7*-1</f>
        <v>153.6732</v>
      </c>
      <c r="K55" s="28"/>
      <c r="L55" s="1" t="s">
        <v>105</v>
      </c>
    </row>
    <row r="56" customFormat="false" ht="12.75" hidden="false" customHeight="false" outlineLevel="0" collapsed="false">
      <c r="A56" s="4" t="n">
        <v>1.3</v>
      </c>
      <c r="B56" s="3" t="s">
        <v>106</v>
      </c>
      <c r="C56" s="3" t="s">
        <v>107</v>
      </c>
      <c r="D56" s="65"/>
      <c r="E56" s="65"/>
      <c r="F56" s="65"/>
      <c r="G56" s="27" t="s">
        <v>68</v>
      </c>
      <c r="H56" s="34" t="n">
        <f aca="false">(A41-(A12*A30))*I14</f>
        <v>1464.36</v>
      </c>
      <c r="J56" s="1" t="s">
        <v>61</v>
      </c>
      <c r="K56" s="28" t="s">
        <v>62</v>
      </c>
      <c r="L56" s="82" t="n">
        <f aca="false">(H51-H24)/(H31-H57)</f>
        <v>35.4810340503624</v>
      </c>
    </row>
    <row r="57" customFormat="false" ht="12.75" hidden="false" customHeight="false" outlineLevel="0" collapsed="false">
      <c r="A57" s="83" t="n">
        <v>25</v>
      </c>
      <c r="B57" s="6" t="s">
        <v>108</v>
      </c>
      <c r="C57" s="1" t="s">
        <v>109</v>
      </c>
      <c r="D57" s="36"/>
      <c r="E57" s="36"/>
      <c r="F57" s="36"/>
      <c r="G57" s="12" t="s">
        <v>70</v>
      </c>
      <c r="H57" s="49" t="n">
        <f aca="false">SUM(H53:H56)</f>
        <v>1122.3132</v>
      </c>
      <c r="I57" s="50"/>
      <c r="J57" s="51" t="n">
        <f aca="false">H57*20</f>
        <v>22446.264</v>
      </c>
      <c r="K57" s="52" t="n">
        <f aca="false">H57*30</f>
        <v>33669.396</v>
      </c>
      <c r="L57" s="1" t="s">
        <v>110</v>
      </c>
    </row>
    <row r="58" customFormat="false" ht="12.75" hidden="false" customHeight="false" outlineLevel="0" collapsed="false">
      <c r="A58" s="83" t="n">
        <v>50</v>
      </c>
      <c r="B58" s="6" t="s">
        <v>108</v>
      </c>
      <c r="C58" s="1" t="s">
        <v>111</v>
      </c>
      <c r="D58" s="36"/>
      <c r="E58" s="36"/>
      <c r="F58" s="36"/>
      <c r="G58" s="27"/>
      <c r="H58" s="34"/>
      <c r="J58" s="56"/>
      <c r="K58" s="57"/>
    </row>
    <row r="59" customFormat="false" ht="12.75" hidden="false" customHeight="false" outlineLevel="0" collapsed="false">
      <c r="A59" s="83" t="n">
        <v>2.4</v>
      </c>
      <c r="B59" s="6" t="s">
        <v>76</v>
      </c>
      <c r="C59" s="1" t="s">
        <v>112</v>
      </c>
      <c r="G59" s="59" t="s">
        <v>73</v>
      </c>
      <c r="H59" s="60"/>
      <c r="I59" s="61"/>
      <c r="J59" s="62" t="n">
        <f aca="false">H51+(H57*20)</f>
        <v>159382.994</v>
      </c>
      <c r="K59" s="63" t="n">
        <f aca="false">H51+(H57*30)</f>
        <v>170606.126</v>
      </c>
    </row>
    <row r="60" customFormat="false" ht="12.75" hidden="false" customHeight="false" outlineLevel="0" collapsed="false">
      <c r="A60" s="84" t="n">
        <f aca="false">A66-(30*A59)</f>
        <v>-38.07</v>
      </c>
      <c r="B60" s="6" t="s">
        <v>76</v>
      </c>
      <c r="C60" s="1" t="s">
        <v>113</v>
      </c>
      <c r="G60" s="12" t="s">
        <v>114</v>
      </c>
      <c r="H60" s="49"/>
      <c r="I60" s="50"/>
      <c r="J60" s="85" t="n">
        <f aca="false">(J59-J33)*-1</f>
        <v>-48840.074</v>
      </c>
      <c r="K60" s="85" t="n">
        <f aca="false">(K59-K33)*-1</f>
        <v>-17291.746</v>
      </c>
    </row>
    <row r="61" customFormat="false" ht="12.75" hidden="false" customHeight="false" outlineLevel="0" collapsed="false">
      <c r="A61" s="86" t="n">
        <v>1</v>
      </c>
      <c r="B61" s="6" t="s">
        <v>9</v>
      </c>
      <c r="C61" s="1" t="s">
        <v>115</v>
      </c>
    </row>
    <row r="62" customFormat="false" ht="12.75" hidden="false" customHeight="false" outlineLevel="0" collapsed="false">
      <c r="A62" s="84" t="n">
        <f aca="false">A59*A61</f>
        <v>2.4</v>
      </c>
      <c r="B62" s="6" t="s">
        <v>76</v>
      </c>
      <c r="C62" s="1" t="s">
        <v>116</v>
      </c>
      <c r="G62" s="39" t="s">
        <v>117</v>
      </c>
      <c r="H62" s="39"/>
      <c r="I62" s="39"/>
      <c r="J62" s="39"/>
      <c r="K62" s="39"/>
    </row>
    <row r="63" customFormat="false" ht="12.75" hidden="false" customHeight="false" outlineLevel="0" collapsed="false">
      <c r="A63" s="84" t="n">
        <f aca="false">A59*A61/(A55*A56)</f>
        <v>1.59151193633952</v>
      </c>
      <c r="B63" s="6" t="s">
        <v>108</v>
      </c>
      <c r="C63" s="1" t="s">
        <v>118</v>
      </c>
      <c r="G63" s="1" t="s">
        <v>119</v>
      </c>
    </row>
    <row r="64" customFormat="false" ht="12.75" hidden="false" customHeight="false" outlineLevel="0" collapsed="false">
      <c r="A64" s="10" t="n">
        <v>0.9</v>
      </c>
      <c r="B64" s="11" t="s">
        <v>9</v>
      </c>
      <c r="C64" s="1" t="s">
        <v>120</v>
      </c>
      <c r="G64" s="1" t="s">
        <v>121</v>
      </c>
    </row>
    <row r="65" customFormat="false" ht="12.75" hidden="false" customHeight="false" outlineLevel="0" collapsed="false">
      <c r="A65" s="22" t="n">
        <f aca="false">(A16-A17)/(365/2)+(A17/2/(365/2))</f>
        <v>93.972602739726</v>
      </c>
      <c r="B65" s="11" t="s">
        <v>34</v>
      </c>
      <c r="C65" s="31" t="s">
        <v>122</v>
      </c>
      <c r="G65" s="1" t="s">
        <v>123</v>
      </c>
    </row>
    <row r="66" customFormat="false" ht="12.75" hidden="false" customHeight="false" outlineLevel="0" collapsed="false">
      <c r="A66" s="87" t="n">
        <f aca="false">A55*A56*(A58-A57)*A64</f>
        <v>33.93</v>
      </c>
      <c r="B66" s="3" t="s">
        <v>34</v>
      </c>
      <c r="C66" s="3" t="s">
        <v>124</v>
      </c>
    </row>
    <row r="67" customFormat="false" ht="12.75" hidden="false" customHeight="false" outlineLevel="0" collapsed="false">
      <c r="A67" s="60" t="n">
        <f aca="false">A66/A28*I14</f>
        <v>2.0358</v>
      </c>
      <c r="C67" s="88" t="s">
        <v>125</v>
      </c>
    </row>
    <row r="68" customFormat="false" ht="12.75" hidden="false" customHeight="false" outlineLevel="0" collapsed="false">
      <c r="C68" s="38" t="s">
        <v>126</v>
      </c>
    </row>
    <row r="69" customFormat="false" ht="12.75" hidden="false" customHeight="false" outlineLevel="0" collapsed="false">
      <c r="C69" s="38" t="s">
        <v>127</v>
      </c>
      <c r="G69" s="1" t="s">
        <v>128</v>
      </c>
    </row>
    <row r="70" customFormat="false" ht="12.75" hidden="false" customHeight="false" outlineLevel="0" collapsed="false">
      <c r="C70" s="36"/>
      <c r="G70" s="1" t="s">
        <v>129</v>
      </c>
    </row>
    <row r="71" customFormat="false" ht="12.75" hidden="false" customHeight="false" outlineLevel="0" collapsed="false">
      <c r="A71" s="89" t="n">
        <f aca="false">A16/A66</f>
        <v>577.659888004716</v>
      </c>
      <c r="B71" s="1" t="s">
        <v>130</v>
      </c>
      <c r="C71" s="1" t="s">
        <v>131</v>
      </c>
    </row>
    <row r="72" customFormat="false" ht="12.75" hidden="false" customHeight="false" outlineLevel="0" collapsed="false">
      <c r="A72" s="20" t="n">
        <f aca="false">H41/A67</f>
        <v>0</v>
      </c>
      <c r="B72" s="1" t="s">
        <v>130</v>
      </c>
      <c r="C72" s="1" t="s">
        <v>132</v>
      </c>
    </row>
    <row r="73" customFormat="false" ht="12.75" hidden="false" customHeight="false" outlineLevel="0" collapsed="false">
      <c r="A73" s="20" t="n">
        <f aca="false">A72/30</f>
        <v>0</v>
      </c>
      <c r="B73" s="1" t="s">
        <v>130</v>
      </c>
      <c r="C73" s="1" t="s">
        <v>133</v>
      </c>
    </row>
    <row r="74" customFormat="false" ht="12.75" hidden="false" customHeight="false" outlineLevel="0" collapsed="false">
      <c r="A74" s="89"/>
    </row>
    <row r="75" customFormat="false" ht="12.75" hidden="false" customHeight="false" outlineLevel="0" collapsed="false">
      <c r="A75" s="2" t="s">
        <v>134</v>
      </c>
      <c r="B75" s="2"/>
      <c r="C75" s="2"/>
    </row>
    <row r="76" customFormat="false" ht="12.75" hidden="false" customHeight="false" outlineLevel="0" collapsed="false">
      <c r="A76" s="11" t="n">
        <f aca="false">A33/A28</f>
        <v>1260</v>
      </c>
      <c r="B76" s="11" t="s">
        <v>76</v>
      </c>
      <c r="C76" s="90" t="s">
        <v>135</v>
      </c>
    </row>
    <row r="77" customFormat="false" ht="14.9" hidden="false" customHeight="false" outlineLevel="0" collapsed="false">
      <c r="A77" s="91" t="n">
        <f aca="false">A76*I14</f>
        <v>340.2</v>
      </c>
      <c r="B77" s="92" t="s">
        <v>84</v>
      </c>
      <c r="C77" s="93" t="s">
        <v>136</v>
      </c>
    </row>
    <row r="78" customFormat="false" ht="12.75" hidden="false" customHeight="false" outlineLevel="0" collapsed="false">
      <c r="A78" s="91" t="n">
        <f aca="false">A76*I19*(1-A7)</f>
        <v>86.94</v>
      </c>
      <c r="B78" s="92" t="s">
        <v>84</v>
      </c>
      <c r="C78" s="1" t="s">
        <v>137</v>
      </c>
    </row>
    <row r="79" customFormat="false" ht="14.25" hidden="false" customHeight="false" outlineLevel="0" collapsed="false">
      <c r="A79" s="94" t="n">
        <f aca="false">A77*30</f>
        <v>10206</v>
      </c>
      <c r="B79" s="92" t="s">
        <v>84</v>
      </c>
      <c r="C79" s="93" t="s">
        <v>138</v>
      </c>
    </row>
    <row r="80" customFormat="false" ht="14.25" hidden="false" customHeight="false" outlineLevel="0" collapsed="false">
      <c r="A80" s="95" t="n">
        <f aca="false">A78*30</f>
        <v>2608.2</v>
      </c>
      <c r="B80" s="92" t="s">
        <v>84</v>
      </c>
      <c r="C80" s="93" t="s">
        <v>139</v>
      </c>
    </row>
    <row r="81" customFormat="false" ht="12.8" hidden="false" customHeight="false" outlineLevel="0" collapsed="false">
      <c r="A81" s="89"/>
      <c r="C81" s="38" t="s">
        <v>140</v>
      </c>
    </row>
    <row r="82" customFormat="false" ht="12.8" hidden="false" customHeight="false" outlineLevel="0" collapsed="false">
      <c r="A82" s="89"/>
      <c r="C82" s="38" t="s">
        <v>141</v>
      </c>
    </row>
    <row r="83" customFormat="false" ht="12.8" hidden="false" customHeight="false" outlineLevel="0" collapsed="false">
      <c r="A83" s="89"/>
      <c r="C83" s="38" t="s">
        <v>142</v>
      </c>
    </row>
    <row r="84" customFormat="false" ht="12.8" hidden="false" customHeight="false" outlineLevel="0" collapsed="false">
      <c r="A84" s="94" t="n">
        <f aca="false">((A16-A33)/A28)-(A16-A33)/(A28+1)</f>
        <v>562.828282828283</v>
      </c>
      <c r="B84" s="11" t="s">
        <v>76</v>
      </c>
      <c r="C84" s="11" t="s">
        <v>143</v>
      </c>
    </row>
    <row r="85" customFormat="false" ht="12.8" hidden="false" customHeight="false" outlineLevel="0" collapsed="false">
      <c r="A85" s="91" t="n">
        <f aca="false">A84*I14</f>
        <v>151.963636363636</v>
      </c>
      <c r="B85" s="11" t="s">
        <v>84</v>
      </c>
      <c r="C85" s="1" t="s">
        <v>144</v>
      </c>
      <c r="D85" s="36"/>
      <c r="E85" s="36"/>
      <c r="F85" s="36"/>
      <c r="G85" s="36"/>
      <c r="H85" s="36"/>
    </row>
    <row r="86" customFormat="false" ht="12.8" hidden="false" customHeight="false" outlineLevel="0" collapsed="false">
      <c r="A86" s="91" t="n">
        <f aca="false">A84*I19*(1-A7)</f>
        <v>38.8351515151515</v>
      </c>
      <c r="B86" s="11" t="s">
        <v>84</v>
      </c>
      <c r="C86" s="1" t="s">
        <v>145</v>
      </c>
    </row>
    <row r="87" customFormat="false" ht="12.8" hidden="false" customHeight="false" outlineLevel="0" collapsed="false">
      <c r="A87" s="94" t="n">
        <f aca="false">A85*30</f>
        <v>4558.90909090909</v>
      </c>
      <c r="B87" s="11" t="s">
        <v>84</v>
      </c>
      <c r="C87" s="1" t="s">
        <v>146</v>
      </c>
      <c r="D87" s="36"/>
      <c r="E87" s="36"/>
      <c r="F87" s="36"/>
      <c r="G87" s="36"/>
      <c r="H87" s="36"/>
      <c r="I87" s="36"/>
      <c r="J87" s="36"/>
      <c r="K87" s="36"/>
    </row>
    <row r="88" customFormat="false" ht="12.8" hidden="false" customHeight="false" outlineLevel="0" collapsed="false">
      <c r="A88" s="94" t="n">
        <f aca="false">A86*30</f>
        <v>1165.05454545455</v>
      </c>
      <c r="B88" s="11" t="s">
        <v>84</v>
      </c>
      <c r="C88" s="1" t="s">
        <v>147</v>
      </c>
      <c r="D88" s="36"/>
      <c r="E88" s="36"/>
      <c r="F88" s="36"/>
      <c r="G88" s="36"/>
      <c r="H88" s="36"/>
      <c r="I88" s="36"/>
      <c r="J88" s="36"/>
      <c r="K88" s="36"/>
    </row>
    <row r="89" customFormat="false" ht="12.8" hidden="false" customHeight="false" outlineLevel="0" collapsed="false">
      <c r="D89" s="36"/>
      <c r="E89" s="36"/>
      <c r="F89" s="36"/>
      <c r="G89" s="36"/>
      <c r="H89" s="36"/>
      <c r="I89" s="36"/>
      <c r="J89" s="36"/>
      <c r="K89" s="36"/>
    </row>
    <row r="90" customFormat="false" ht="12.8" hidden="false" customHeight="false" outlineLevel="0" collapsed="false">
      <c r="A90" s="94" t="n">
        <f aca="false">A79+A87</f>
        <v>14764.9090909091</v>
      </c>
      <c r="B90" s="11" t="s">
        <v>84</v>
      </c>
      <c r="C90" s="1" t="s">
        <v>148</v>
      </c>
      <c r="G90" s="96"/>
    </row>
    <row r="91" customFormat="false" ht="12.8" hidden="false" customHeight="false" outlineLevel="0" collapsed="false">
      <c r="A91" s="94" t="n">
        <f aca="false">A78+A87</f>
        <v>4645.84909090909</v>
      </c>
      <c r="B91" s="11" t="s">
        <v>84</v>
      </c>
      <c r="C91" s="1" t="s">
        <v>149</v>
      </c>
    </row>
    <row r="92" customFormat="false" ht="12.8" hidden="false" customHeight="false" outlineLevel="0" collapsed="false"/>
    <row r="93" customFormat="false" ht="12.8" hidden="false" customHeight="false" outlineLevel="0" collapsed="false"/>
    <row r="94" customFormat="false" ht="12.8" hidden="false" customHeight="false" outlineLevel="0" collapsed="false">
      <c r="A94" s="2" t="s">
        <v>150</v>
      </c>
      <c r="B94" s="2"/>
      <c r="C94" s="2"/>
      <c r="D94" s="34"/>
    </row>
    <row r="95" customFormat="false" ht="12.8" hidden="false" customHeight="false" outlineLevel="0" collapsed="false">
      <c r="C95" s="1" t="s">
        <v>151</v>
      </c>
    </row>
    <row r="96" customFormat="false" ht="12.8" hidden="false" customHeight="false" outlineLevel="0" collapsed="false"/>
    <row r="97" customFormat="false" ht="12.8" hidden="false" customHeight="false" outlineLevel="0" collapsed="false"/>
    <row r="98" customFormat="false" ht="12.8" hidden="false" customHeight="false" outlineLevel="0" collapsed="false"/>
    <row r="99" customFormat="false" ht="12.8" hidden="false" customHeight="false" outlineLevel="0" collapsed="false">
      <c r="A99" s="2" t="s">
        <v>152</v>
      </c>
      <c r="B99" s="2"/>
      <c r="C99" s="2"/>
    </row>
    <row r="100" customFormat="false" ht="12.8" hidden="false" customHeight="false" outlineLevel="0" collapsed="false">
      <c r="C100" s="1" t="s">
        <v>153</v>
      </c>
    </row>
    <row r="101" customFormat="false" ht="12.8" hidden="false" customHeight="false" outlineLevel="0" collapsed="false">
      <c r="C101" s="1" t="s">
        <v>154</v>
      </c>
    </row>
  </sheetData>
  <mergeCells count="9">
    <mergeCell ref="A1:C1"/>
    <mergeCell ref="A19:C19"/>
    <mergeCell ref="G22:K22"/>
    <mergeCell ref="G36:K36"/>
    <mergeCell ref="A54:C54"/>
    <mergeCell ref="G62:K62"/>
    <mergeCell ref="A75:C75"/>
    <mergeCell ref="A94:C94"/>
    <mergeCell ref="A99:C99"/>
  </mergeCells>
  <hyperlinks>
    <hyperlink ref="D35" r:id="rId1" display="https://www.energie-experten.org/heizung/waermepumpe/waermepumpenheizung/wirkungsgrad"/>
    <hyperlink ref="D37" r:id="rId2" display="https://www.heizsparer.de/spartipps/heizung-optimieren/optimale-vorlauftemperatur-einstellen"/>
  </hyperlinks>
  <printOptions headings="false" gridLines="false" gridLinesSet="true" horizontalCentered="false" verticalCentered="false"/>
  <pageMargins left="0" right="0" top="0" bottom="0" header="0" footer="0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true" differentOddEven="false">
    <oddHeader/>
    <oddFooter/>
    <firstHeader/>
    <firstFooter/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2023-01-28T11:54:01Z</dcterms:created>
  <dc:creator/>
  <dc:description/>
  <dc:language>de-CH</dc:language>
  <cp:lastModifiedBy/>
  <dcterms:modified xsi:type="dcterms:W3CDTF">2025-12-30T12:20:13Z</dcterms:modified>
  <cp:revision>44</cp:revision>
  <dc:subject/>
  <dc:title/>
</cp:coreProperties>
</file>